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NP100_prosess_og_produksjon\H2022\Øvinger2022\Øving1_ny\"/>
    </mc:Choice>
  </mc:AlternateContent>
  <xr:revisionPtr revIDLastSave="0" documentId="13_ncr:1_{7078BF6E-8B61-412F-9403-DC8743F0ABF7}" xr6:coauthVersionLast="47" xr6:coauthVersionMax="47" xr10:uidLastSave="{00000000-0000-0000-0000-000000000000}"/>
  <bookViews>
    <workbookView xWindow="-120" yWindow="-120" windowWidth="25440" windowHeight="15075" activeTab="2" xr2:uid="{5637E48D-60DB-4BCF-8A87-01BE79B93134}"/>
  </bookViews>
  <sheets>
    <sheet name="Oppg. 1  (2.3)" sheetId="4" r:id="rId1"/>
    <sheet name="Oppg. 2 b)" sheetId="3" r:id="rId2"/>
    <sheet name="Oljeegenskaper" sheetId="1" r:id="rId3"/>
  </sheets>
  <calcPr calcId="191029" iterate="1" iterateCount="1000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2" i="1" l="1"/>
  <c r="B17" i="4"/>
  <c r="I17" i="4"/>
  <c r="H17" i="4"/>
  <c r="B10" i="1"/>
  <c r="B20" i="1" s="1"/>
  <c r="G5" i="3"/>
  <c r="B12" i="1" l="1"/>
  <c r="B18" i="1"/>
  <c r="G18" i="4"/>
  <c r="G17" i="4"/>
  <c r="I8" i="4"/>
  <c r="H7" i="4"/>
  <c r="G6" i="4"/>
  <c r="B16" i="1"/>
  <c r="B15" i="1"/>
  <c r="B11" i="1"/>
  <c r="G4" i="3"/>
  <c r="G6" i="3"/>
  <c r="I5" i="4"/>
  <c r="I6" i="4"/>
  <c r="I7" i="4"/>
  <c r="I9" i="4"/>
  <c r="I10" i="4"/>
  <c r="I11" i="4"/>
  <c r="I12" i="4"/>
  <c r="I13" i="4"/>
  <c r="I14" i="4"/>
  <c r="I15" i="4"/>
  <c r="I4" i="4"/>
  <c r="H5" i="4"/>
  <c r="H6" i="4"/>
  <c r="H8" i="4"/>
  <c r="H9" i="4"/>
  <c r="H10" i="4"/>
  <c r="H11" i="4"/>
  <c r="H12" i="4"/>
  <c r="H13" i="4"/>
  <c r="H14" i="4"/>
  <c r="H15" i="4"/>
  <c r="H4" i="4"/>
  <c r="G5" i="4"/>
  <c r="G7" i="4"/>
  <c r="G8" i="4"/>
  <c r="G9" i="4"/>
  <c r="G10" i="4"/>
  <c r="G11" i="4"/>
  <c r="G12" i="4"/>
  <c r="G13" i="4"/>
  <c r="G14" i="4"/>
  <c r="G15" i="4"/>
  <c r="G4" i="4"/>
  <c r="B19" i="1" l="1"/>
  <c r="G3" i="3"/>
  <c r="I20" i="1"/>
  <c r="I15" i="1"/>
  <c r="I16" i="1" s="1"/>
  <c r="I11" i="1"/>
  <c r="I19" i="1"/>
  <c r="I18" i="1" l="1"/>
  <c r="I21" i="1" s="1"/>
  <c r="I22" i="1"/>
  <c r="G2" i="3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H15" i="3" s="1"/>
  <c r="G14" i="3"/>
  <c r="H14" i="3" s="1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H6" i="3"/>
  <c r="H5" i="3"/>
  <c r="H4" i="3"/>
  <c r="H3" i="3"/>
  <c r="H2" i="3"/>
  <c r="I23" i="1" l="1"/>
  <c r="I25" i="1"/>
  <c r="B22" i="1" l="1"/>
  <c r="B21" i="1" l="1"/>
  <c r="B23" i="1" l="1"/>
  <c r="B25" i="1" s="1"/>
</calcChain>
</file>

<file path=xl/sharedStrings.xml><?xml version="1.0" encoding="utf-8"?>
<sst xmlns="http://schemas.openxmlformats.org/spreadsheetml/2006/main" count="96" uniqueCount="93">
  <si>
    <t>API</t>
  </si>
  <si>
    <t>T</t>
  </si>
  <si>
    <t>p</t>
  </si>
  <si>
    <t>Rs</t>
  </si>
  <si>
    <t>(2.2)</t>
  </si>
  <si>
    <r>
      <rPr>
        <sz val="11"/>
        <color theme="1"/>
        <rFont val="Symbol"/>
        <family val="1"/>
        <charset val="2"/>
      </rPr>
      <t>r</t>
    </r>
    <r>
      <rPr>
        <sz val="11"/>
        <color theme="1"/>
        <rFont val="Calibri"/>
        <family val="2"/>
        <scheme val="minor"/>
      </rPr>
      <t>o</t>
    </r>
  </si>
  <si>
    <t>(2.5)</t>
  </si>
  <si>
    <t>(2.3)</t>
  </si>
  <si>
    <r>
      <rPr>
        <sz val="11"/>
        <color theme="1"/>
        <rFont val="Symbol"/>
        <family val="1"/>
        <charset val="2"/>
      </rPr>
      <t>g</t>
    </r>
    <r>
      <rPr>
        <sz val="11"/>
        <color theme="1"/>
        <rFont val="Calibri"/>
        <family val="2"/>
        <scheme val="minor"/>
      </rPr>
      <t>o</t>
    </r>
  </si>
  <si>
    <t>A</t>
  </si>
  <si>
    <t>(2.8)</t>
  </si>
  <si>
    <t>(2.9)</t>
  </si>
  <si>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Calibri"/>
        <family val="2"/>
        <scheme val="minor"/>
      </rPr>
      <t>od</t>
    </r>
  </si>
  <si>
    <t>e</t>
  </si>
  <si>
    <t>d</t>
  </si>
  <si>
    <t>c</t>
  </si>
  <si>
    <t>b</t>
  </si>
  <si>
    <t>a</t>
  </si>
  <si>
    <t>(2.15)</t>
  </si>
  <si>
    <t>(2.14)</t>
  </si>
  <si>
    <t>(2.13)</t>
  </si>
  <si>
    <t>(2.12)</t>
  </si>
  <si>
    <t>(2.11)</t>
  </si>
  <si>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Calibri"/>
        <family val="2"/>
        <scheme val="minor"/>
      </rPr>
      <t>ob</t>
    </r>
  </si>
  <si>
    <t>(2.10)</t>
  </si>
  <si>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Calibri"/>
        <family val="2"/>
        <scheme val="minor"/>
      </rPr>
      <t>o</t>
    </r>
  </si>
  <si>
    <t>pb</t>
  </si>
  <si>
    <r>
      <rPr>
        <sz val="11"/>
        <color theme="1"/>
        <rFont val="Symbol"/>
        <family val="1"/>
        <charset val="2"/>
      </rPr>
      <t>g</t>
    </r>
    <r>
      <rPr>
        <sz val="11"/>
        <color theme="1"/>
        <rFont val="Calibri"/>
        <family val="2"/>
        <scheme val="minor"/>
      </rPr>
      <t>g</t>
    </r>
  </si>
  <si>
    <t>F</t>
  </si>
  <si>
    <t>psi</t>
  </si>
  <si>
    <t>Tetthet v/ reservoarbetingelser</t>
  </si>
  <si>
    <t>Viskositet, dead oil</t>
  </si>
  <si>
    <t>Viskositet, saturated oil</t>
  </si>
  <si>
    <t>(2.16)</t>
  </si>
  <si>
    <t>Viskositet, unsaturated oil</t>
  </si>
  <si>
    <t>Component</t>
  </si>
  <si>
    <t>C1</t>
  </si>
  <si>
    <t>C2</t>
  </si>
  <si>
    <t>C3</t>
  </si>
  <si>
    <t>C6</t>
  </si>
  <si>
    <t>C7+</t>
  </si>
  <si>
    <t>p(r) [bar]</t>
  </si>
  <si>
    <t>m3/s</t>
  </si>
  <si>
    <t>m</t>
  </si>
  <si>
    <t>Pa s</t>
  </si>
  <si>
    <t>k</t>
  </si>
  <si>
    <t>m2</t>
  </si>
  <si>
    <t>re</t>
  </si>
  <si>
    <t>rw</t>
  </si>
  <si>
    <t>h</t>
  </si>
  <si>
    <t>pe</t>
  </si>
  <si>
    <t>Pa</t>
  </si>
  <si>
    <t>Rs fra lign (2.2)</t>
  </si>
  <si>
    <t>Rs konstant = 800</t>
  </si>
  <si>
    <t>Density:</t>
  </si>
  <si>
    <t>Viscosity:</t>
  </si>
  <si>
    <t>Strømningsrate, olje:</t>
  </si>
  <si>
    <t>Viskositet, olje:</t>
  </si>
  <si>
    <t>Permeabilitet, reservoar:</t>
  </si>
  <si>
    <t>Radius, reservoar:</t>
  </si>
  <si>
    <t>Radius, brønn:</t>
  </si>
  <si>
    <t>Høyde, reservoar:</t>
  </si>
  <si>
    <t>Trykk, reservoar (ved r = re):</t>
  </si>
  <si>
    <t>SI-enheter</t>
  </si>
  <si>
    <t>Mole frac.</t>
  </si>
  <si>
    <t>Mw</t>
  </si>
  <si>
    <t>pc [psia]</t>
  </si>
  <si>
    <t>Tc [R]</t>
  </si>
  <si>
    <t>Mw [g/mol]</t>
  </si>
  <si>
    <t>iC4</t>
  </si>
  <si>
    <t>nC4</t>
  </si>
  <si>
    <t>iC5</t>
  </si>
  <si>
    <t>nC5</t>
  </si>
  <si>
    <t>N2</t>
  </si>
  <si>
    <t>CO2</t>
  </si>
  <si>
    <t>H2S</t>
  </si>
  <si>
    <t>y*Mw</t>
  </si>
  <si>
    <t>y*pc</t>
  </si>
  <si>
    <t>y*Tc</t>
  </si>
  <si>
    <t>p_pc</t>
  </si>
  <si>
    <t>T_pc</t>
  </si>
  <si>
    <t>Data er hentet fra Table 2.2 i læreboka, sammensetning (i.e. molfraksjonene fra oppgaveteksten)</t>
  </si>
  <si>
    <t>Man skal få samme resultat ved å laste ned regnearket "MixingRule.xls"</t>
  </si>
  <si>
    <t>(Lign. nr.)</t>
  </si>
  <si>
    <t>Man skal få samme resultat ved å laste ned regnearket "OilProperties.xls"</t>
  </si>
  <si>
    <t>qo</t>
  </si>
  <si>
    <t>mo</t>
  </si>
  <si>
    <t>r [m]</t>
  </si>
  <si>
    <r>
      <t>(</t>
    </r>
    <r>
      <rPr>
        <sz val="11"/>
        <color theme="1"/>
        <rFont val="Calibri"/>
        <family val="2"/>
        <scheme val="minor"/>
      </rPr>
      <t>S må være = 1)</t>
    </r>
  </si>
  <si>
    <r>
      <rPr>
        <sz val="11"/>
        <color theme="1"/>
        <rFont val="Symbol"/>
        <family val="1"/>
        <charset val="2"/>
      </rPr>
      <t>g</t>
    </r>
    <r>
      <rPr>
        <sz val="11"/>
        <color theme="1"/>
        <rFont val="Calibri"/>
        <family val="2"/>
        <scheme val="minor"/>
      </rPr>
      <t>g</t>
    </r>
  </si>
  <si>
    <t>p(r) [Pa]</t>
  </si>
  <si>
    <t>1: Varierende GOR</t>
  </si>
  <si>
    <t>2: Konstant GOR, som i OilOproperties.xls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</si>
</sst>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1"/>
      <charset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 applyAlignment="1">
      <alignment horizontal="right"/>
    </xf>
    <xf numFmtId="0" fontId="3" fillId="0" borderId="0" xfId="0" applyFont="1"/>
    <xf numFmtId="0" fontId="1" fillId="0" borderId="0" xfId="0" applyFont="1"/>
    <xf numFmtId="11" fontId="0" fillId="0" borderId="0" xfId="0" applyNumberFormat="1"/>
    <xf numFmtId="11" fontId="2" fillId="0" borderId="0" xfId="0" applyNumberFormat="1" applyFont="1"/>
    <xf numFmtId="164" fontId="1" fillId="0" borderId="0" xfId="0" applyNumberFormat="1" applyFont="1"/>
    <xf numFmtId="0" fontId="0" fillId="0" borderId="0" xfId="0" applyFont="1"/>
    <xf numFmtId="2" fontId="0" fillId="0" borderId="0" xfId="0" applyNumberFormat="1" applyFont="1" applyBorder="1" applyAlignment="1">
      <alignment horizontal="right"/>
    </xf>
    <xf numFmtId="1" fontId="0" fillId="0" borderId="0" xfId="0" applyNumberFormat="1" applyFont="1" applyBorder="1" applyAlignment="1">
      <alignment horizontal="right"/>
    </xf>
    <xf numFmtId="164" fontId="0" fillId="0" borderId="0" xfId="0" applyNumberFormat="1" applyFont="1"/>
    <xf numFmtId="164" fontId="5" fillId="0" borderId="0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4.9087389742513067E-2"/>
          <c:y val="0.10507082152974506"/>
          <c:w val="0.92291884493976584"/>
          <c:h val="0.82921170618545204"/>
        </c:manualLayout>
      </c:layout>
      <c:scatterChart>
        <c:scatterStyle val="lineMarker"/>
        <c:varyColors val="0"/>
        <c:ser>
          <c:idx val="0"/>
          <c:order val="0"/>
          <c:tx>
            <c:v>plott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'Oppg. 2 b)'!$F$2:$F$34</c:f>
              <c:numCache>
                <c:formatCode>General</c:formatCode>
                <c:ptCount val="33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20</c:v>
                </c:pt>
                <c:pt idx="20">
                  <c:v>30</c:v>
                </c:pt>
                <c:pt idx="21">
                  <c:v>40</c:v>
                </c:pt>
                <c:pt idx="22">
                  <c:v>50</c:v>
                </c:pt>
                <c:pt idx="23">
                  <c:v>60</c:v>
                </c:pt>
                <c:pt idx="24">
                  <c:v>70</c:v>
                </c:pt>
                <c:pt idx="25">
                  <c:v>80</c:v>
                </c:pt>
                <c:pt idx="26">
                  <c:v>90</c:v>
                </c:pt>
                <c:pt idx="27">
                  <c:v>100</c:v>
                </c:pt>
                <c:pt idx="28">
                  <c:v>200</c:v>
                </c:pt>
                <c:pt idx="29">
                  <c:v>300</c:v>
                </c:pt>
                <c:pt idx="30">
                  <c:v>400</c:v>
                </c:pt>
                <c:pt idx="31">
                  <c:v>500</c:v>
                </c:pt>
                <c:pt idx="32">
                  <c:v>575</c:v>
                </c:pt>
              </c:numCache>
            </c:numRef>
          </c:xVal>
          <c:yVal>
            <c:numRef>
              <c:f>'Oppg. 2 b)'!$H$2:$H$34</c:f>
              <c:numCache>
                <c:formatCode>General</c:formatCode>
                <c:ptCount val="33"/>
                <c:pt idx="0">
                  <c:v>124.44055966646792</c:v>
                </c:pt>
                <c:pt idx="1">
                  <c:v>146.50411968173307</c:v>
                </c:pt>
                <c:pt idx="2">
                  <c:v>159.41047492307388</c:v>
                </c:pt>
                <c:pt idx="3">
                  <c:v>168.5676796969982</c:v>
                </c:pt>
                <c:pt idx="4">
                  <c:v>175.6705595391455</c:v>
                </c:pt>
                <c:pt idx="5">
                  <c:v>181.47403493833906</c:v>
                </c:pt>
                <c:pt idx="6">
                  <c:v>186.38080347343589</c:v>
                </c:pt>
                <c:pt idx="7">
                  <c:v>190.63123971226335</c:v>
                </c:pt>
                <c:pt idx="8">
                  <c:v>194.38039017967986</c:v>
                </c:pt>
                <c:pt idx="9">
                  <c:v>197.73411955441065</c:v>
                </c:pt>
                <c:pt idx="10">
                  <c:v>219.79767956967584</c:v>
                </c:pt>
                <c:pt idx="11">
                  <c:v>232.70403481101664</c:v>
                </c:pt>
                <c:pt idx="12">
                  <c:v>241.86123958494099</c:v>
                </c:pt>
                <c:pt idx="13">
                  <c:v>248.96411942708829</c:v>
                </c:pt>
                <c:pt idx="14">
                  <c:v>254.76759482628182</c:v>
                </c:pt>
                <c:pt idx="15">
                  <c:v>259.67436336137865</c:v>
                </c:pt>
                <c:pt idx="16">
                  <c:v>263.92479960020609</c:v>
                </c:pt>
                <c:pt idx="17">
                  <c:v>267.67395006762263</c:v>
                </c:pt>
                <c:pt idx="18">
                  <c:v>271.02767944235342</c:v>
                </c:pt>
                <c:pt idx="19">
                  <c:v>293.0912394576186</c:v>
                </c:pt>
                <c:pt idx="20">
                  <c:v>305.9975946989594</c:v>
                </c:pt>
                <c:pt idx="21">
                  <c:v>315.15479947288372</c:v>
                </c:pt>
                <c:pt idx="22">
                  <c:v>322.25767931503106</c:v>
                </c:pt>
                <c:pt idx="23">
                  <c:v>328.06115471422453</c:v>
                </c:pt>
                <c:pt idx="24">
                  <c:v>332.96792324932142</c:v>
                </c:pt>
                <c:pt idx="25">
                  <c:v>337.21835948814885</c:v>
                </c:pt>
                <c:pt idx="26">
                  <c:v>340.96750995556533</c:v>
                </c:pt>
                <c:pt idx="27">
                  <c:v>344.32123933029618</c:v>
                </c:pt>
                <c:pt idx="28">
                  <c:v>366.38479934556136</c:v>
                </c:pt>
                <c:pt idx="29">
                  <c:v>379.29115458690217</c:v>
                </c:pt>
                <c:pt idx="30">
                  <c:v>388.44835936082649</c:v>
                </c:pt>
                <c:pt idx="31">
                  <c:v>395.55123920297382</c:v>
                </c:pt>
                <c:pt idx="32">
                  <c:v>400.00000000000006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D0-41EE-9DF3-D020C3A73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035136"/>
        <c:axId val="90034304"/>
      </c:scatterChart>
      <c:valAx>
        <c:axId val="90035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0034304"/>
        <c:crosses val="autoZero"/>
        <c:crossBetween val="midCat"/>
      </c:valAx>
      <c:valAx>
        <c:axId val="9003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00351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567531</xdr:colOff>
      <xdr:row>1</xdr:row>
      <xdr:rowOff>17462</xdr:rowOff>
    </xdr:from>
    <xdr:to>
      <xdr:col>21</xdr:col>
      <xdr:colOff>261938</xdr:colOff>
      <xdr:row>25</xdr:row>
      <xdr:rowOff>119062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4D3470C-5D70-4784-A957-730A72659D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726282</xdr:colOff>
      <xdr:row>11</xdr:row>
      <xdr:rowOff>95250</xdr:rowOff>
    </xdr:from>
    <xdr:ext cx="2287293" cy="49795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C2026128-982D-4B2F-8F74-5B62BB027339}"/>
                </a:ext>
              </a:extLst>
            </xdr:cNvPr>
            <xdr:cNvSpPr txBox="1"/>
          </xdr:nvSpPr>
          <xdr:spPr>
            <a:xfrm>
              <a:off x="726282" y="2190750"/>
              <a:ext cx="2287293" cy="49795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nb-NO" sz="1400" b="0" i="1">
                        <a:latin typeface="Cambria Math" panose="02040503050406030204" pitchFamily="18" charset="0"/>
                      </a:rPr>
                      <m:t>𝑝</m:t>
                    </m:r>
                    <m:d>
                      <m:dPr>
                        <m:ctrlPr>
                          <a:rPr lang="nb-NO" sz="14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nb-NO" sz="14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</m:d>
                    <m:r>
                      <a:rPr lang="nb-NO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nb-NO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nb-NO" sz="1400" b="0" i="1">
                            <a:latin typeface="Cambria Math" panose="02040503050406030204" pitchFamily="18" charset="0"/>
                          </a:rPr>
                          <m:t>𝑝</m:t>
                        </m:r>
                      </m:e>
                      <m:sub>
                        <m:r>
                          <a:rPr lang="nb-NO" sz="1400" b="0" i="1">
                            <a:latin typeface="Cambria Math" panose="02040503050406030204" pitchFamily="18" charset="0"/>
                          </a:rPr>
                          <m:t>𝑒</m:t>
                        </m:r>
                      </m:sub>
                    </m:sSub>
                    <m:r>
                      <a:rPr lang="nb-NO" sz="1400" b="0" i="1">
                        <a:latin typeface="Cambria Math" panose="02040503050406030204" pitchFamily="18" charset="0"/>
                      </a:rPr>
                      <m:t>+ </m:t>
                    </m:r>
                    <m:f>
                      <m:fPr>
                        <m:ctrlPr>
                          <a:rPr lang="nb-NO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acc>
                          <m:accPr>
                            <m:chr m:val="̇"/>
                            <m:ctrlPr>
                              <a:rPr lang="nb-NO" sz="14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nb-NO" sz="1400" b="0" i="1">
                                <a:latin typeface="Cambria Math" panose="02040503050406030204" pitchFamily="18" charset="0"/>
                              </a:rPr>
                              <m:t>𝑞</m:t>
                            </m:r>
                          </m:e>
                        </m:acc>
                        <m:r>
                          <a:rPr lang="nb-NO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𝜇</m:t>
                        </m:r>
                      </m:num>
                      <m:den>
                        <m:r>
                          <a:rPr lang="nb-NO" sz="1400" b="0" i="1">
                            <a:latin typeface="Cambria Math" panose="02040503050406030204" pitchFamily="18" charset="0"/>
                          </a:rPr>
                          <m:t>2 </m:t>
                        </m:r>
                        <m:r>
                          <a:rPr lang="nb-NO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𝜋</m:t>
                        </m:r>
                        <m:r>
                          <a:rPr lang="nb-NO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nb-NO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𝑘</m:t>
                        </m:r>
                        <m:r>
                          <a:rPr lang="nb-NO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nb-NO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h</m:t>
                        </m:r>
                      </m:den>
                    </m:f>
                    <m:func>
                      <m:funcPr>
                        <m:ctrlPr>
                          <a:rPr lang="nb-NO" sz="1400" b="0" i="1">
                            <a:latin typeface="Cambria Math" panose="02040503050406030204" pitchFamily="18" charset="0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nb-NO" sz="1400" b="0" i="0">
                            <a:latin typeface="Cambria Math" panose="02040503050406030204" pitchFamily="18" charset="0"/>
                          </a:rPr>
                          <m:t>ln</m:t>
                        </m:r>
                      </m:fName>
                      <m:e>
                        <m:d>
                          <m:dPr>
                            <m:ctrlPr>
                              <a:rPr lang="nb-NO" sz="14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nb-NO" sz="1400" b="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sSub>
                                  <m:sSubPr>
                                    <m:ctrlPr>
                                      <a:rPr lang="nb-NO" sz="14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nb-NO" sz="1400" b="0" i="1">
                                        <a:latin typeface="Cambria Math" panose="02040503050406030204" pitchFamily="18" charset="0"/>
                                      </a:rPr>
                                      <m:t>𝑟</m:t>
                                    </m:r>
                                  </m:e>
                                  <m:sub>
                                    <m:r>
                                      <a:rPr lang="nb-NO" sz="1400" b="0" i="1">
                                        <a:latin typeface="Cambria Math" panose="02040503050406030204" pitchFamily="18" charset="0"/>
                                      </a:rPr>
                                      <m:t>𝑒</m:t>
                                    </m:r>
                                  </m:sub>
                                </m:sSub>
                              </m:num>
                              <m:den>
                                <m:r>
                                  <a:rPr lang="nb-NO" sz="1400" b="0" i="1">
                                    <a:latin typeface="Cambria Math" panose="02040503050406030204" pitchFamily="18" charset="0"/>
                                  </a:rPr>
                                  <m:t>𝑟</m:t>
                                </m:r>
                              </m:den>
                            </m:f>
                          </m:e>
                        </m:d>
                      </m:e>
                    </m:func>
                  </m:oMath>
                </m:oMathPara>
              </a14:m>
              <a:endParaRPr lang="nb-NO" sz="1400"/>
            </a:p>
          </xdr:txBody>
        </xdr:sp>
      </mc:Choice>
      <mc:Fallback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C2026128-982D-4B2F-8F74-5B62BB027339}"/>
                </a:ext>
              </a:extLst>
            </xdr:cNvPr>
            <xdr:cNvSpPr txBox="1"/>
          </xdr:nvSpPr>
          <xdr:spPr>
            <a:xfrm>
              <a:off x="726282" y="2190750"/>
              <a:ext cx="2287293" cy="49795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nb-NO" sz="1400" b="0" i="0">
                  <a:latin typeface="Cambria Math" panose="02040503050406030204" pitchFamily="18" charset="0"/>
                </a:rPr>
                <a:t>𝑝(𝑟)=𝑝_𝑒+  (𝑞 ̇</a:t>
              </a:r>
              <a:r>
                <a:rPr lang="nb-NO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𝜇)/(</a:t>
              </a:r>
              <a:r>
                <a:rPr lang="nb-NO" sz="1400" b="0" i="0">
                  <a:latin typeface="Cambria Math" panose="02040503050406030204" pitchFamily="18" charset="0"/>
                </a:rPr>
                <a:t>2 </a:t>
              </a:r>
              <a:r>
                <a:rPr lang="nb-NO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𝜋 𝑘 ℎ) </a:t>
              </a:r>
              <a:r>
                <a:rPr lang="nb-NO" sz="1400" b="0" i="0">
                  <a:latin typeface="Cambria Math" panose="02040503050406030204" pitchFamily="18" charset="0"/>
                </a:rPr>
                <a:t> ln⁡(𝑟_𝑒/𝑟)</a:t>
              </a:r>
              <a:endParaRPr lang="nb-NO" sz="14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3E690-A9E9-4BBC-8378-3BB527B84DE1}">
  <dimension ref="A1:I20"/>
  <sheetViews>
    <sheetView topLeftCell="A3" workbookViewId="0">
      <selection activeCell="C23" sqref="C23"/>
    </sheetView>
  </sheetViews>
  <sheetFormatPr defaultColWidth="8.7109375" defaultRowHeight="15"/>
  <cols>
    <col min="1" max="1" width="14.42578125" style="7" customWidth="1"/>
    <col min="2" max="2" width="9.85546875" style="7" bestFit="1" customWidth="1"/>
    <col min="3" max="3" width="11.42578125" style="7" bestFit="1" customWidth="1"/>
    <col min="4" max="4" width="8.42578125" style="7" bestFit="1" customWidth="1"/>
    <col min="5" max="5" width="5.85546875" style="7" bestFit="1" customWidth="1"/>
    <col min="6" max="16384" width="8.7109375" style="7"/>
  </cols>
  <sheetData>
    <row r="1" spans="1:9">
      <c r="A1" s="7" t="s">
        <v>81</v>
      </c>
    </row>
    <row r="3" spans="1:9">
      <c r="A3" s="7" t="s">
        <v>35</v>
      </c>
      <c r="B3" s="7" t="s">
        <v>64</v>
      </c>
      <c r="C3" s="7" t="s">
        <v>68</v>
      </c>
      <c r="D3" s="7" t="s">
        <v>66</v>
      </c>
      <c r="E3" s="7" t="s">
        <v>67</v>
      </c>
      <c r="G3" s="7" t="s">
        <v>76</v>
      </c>
      <c r="H3" s="7" t="s">
        <v>77</v>
      </c>
      <c r="I3" s="7" t="s">
        <v>78</v>
      </c>
    </row>
    <row r="4" spans="1:9">
      <c r="A4" s="7" t="s">
        <v>36</v>
      </c>
      <c r="B4" s="11">
        <v>0.76500000000000001</v>
      </c>
      <c r="C4" s="8">
        <v>16.04</v>
      </c>
      <c r="D4" s="9">
        <v>673</v>
      </c>
      <c r="E4" s="9">
        <v>344</v>
      </c>
      <c r="G4" s="7">
        <f>B4*C4</f>
        <v>12.2706</v>
      </c>
      <c r="H4" s="7">
        <f>B4*D4</f>
        <v>514.84500000000003</v>
      </c>
      <c r="I4" s="7">
        <f>B4*E4</f>
        <v>263.16000000000003</v>
      </c>
    </row>
    <row r="5" spans="1:9">
      <c r="A5" s="7" t="s">
        <v>37</v>
      </c>
      <c r="B5" s="11">
        <v>7.2999999999999995E-2</v>
      </c>
      <c r="C5" s="8">
        <v>30.07</v>
      </c>
      <c r="D5" s="9">
        <v>709</v>
      </c>
      <c r="E5" s="9">
        <v>550</v>
      </c>
      <c r="G5" s="7">
        <f t="shared" ref="G5:G15" si="0">B5*C5</f>
        <v>2.1951099999999997</v>
      </c>
      <c r="H5" s="7">
        <f t="shared" ref="H5:H15" si="1">B5*D5</f>
        <v>51.756999999999998</v>
      </c>
      <c r="I5" s="7">
        <f t="shared" ref="I5:I15" si="2">B5*E5</f>
        <v>40.15</v>
      </c>
    </row>
    <row r="6" spans="1:9">
      <c r="A6" s="7" t="s">
        <v>38</v>
      </c>
      <c r="B6" s="11">
        <v>2.1000000000000001E-2</v>
      </c>
      <c r="C6" s="8">
        <v>44.1</v>
      </c>
      <c r="D6" s="9">
        <v>618</v>
      </c>
      <c r="E6" s="9">
        <v>666</v>
      </c>
      <c r="G6" s="7">
        <f>B6*C6</f>
        <v>0.92610000000000003</v>
      </c>
      <c r="H6" s="7">
        <f t="shared" si="1"/>
        <v>12.978000000000002</v>
      </c>
      <c r="I6" s="7">
        <f t="shared" si="2"/>
        <v>13.986000000000001</v>
      </c>
    </row>
    <row r="7" spans="1:9">
      <c r="A7" s="7" t="s">
        <v>69</v>
      </c>
      <c r="B7" s="11">
        <v>6.0000000000000001E-3</v>
      </c>
      <c r="C7" s="8">
        <v>58.12</v>
      </c>
      <c r="D7" s="9">
        <v>530</v>
      </c>
      <c r="E7" s="9">
        <v>733</v>
      </c>
      <c r="G7" s="7">
        <f t="shared" si="0"/>
        <v>0.34871999999999997</v>
      </c>
      <c r="H7" s="7">
        <f>B7*D7</f>
        <v>3.18</v>
      </c>
      <c r="I7" s="7">
        <f t="shared" si="2"/>
        <v>4.3979999999999997</v>
      </c>
    </row>
    <row r="8" spans="1:9">
      <c r="A8" s="7" t="s">
        <v>70</v>
      </c>
      <c r="B8" s="11">
        <v>2E-3</v>
      </c>
      <c r="C8" s="8">
        <v>58.12</v>
      </c>
      <c r="D8" s="9">
        <v>551</v>
      </c>
      <c r="E8" s="9">
        <v>766</v>
      </c>
      <c r="G8" s="7">
        <f t="shared" si="0"/>
        <v>0.11624</v>
      </c>
      <c r="H8" s="7">
        <f t="shared" si="1"/>
        <v>1.1020000000000001</v>
      </c>
      <c r="I8" s="7">
        <f>B8*E8</f>
        <v>1.532</v>
      </c>
    </row>
    <row r="9" spans="1:9">
      <c r="A9" s="7" t="s">
        <v>71</v>
      </c>
      <c r="B9" s="11">
        <v>3.0000000000000001E-3</v>
      </c>
      <c r="C9" s="8">
        <v>72.150000000000006</v>
      </c>
      <c r="D9" s="9">
        <v>482</v>
      </c>
      <c r="E9" s="9">
        <v>830</v>
      </c>
      <c r="G9" s="7">
        <f t="shared" si="0"/>
        <v>0.21645000000000003</v>
      </c>
      <c r="H9" s="7">
        <f t="shared" si="1"/>
        <v>1.446</v>
      </c>
      <c r="I9" s="7">
        <f t="shared" si="2"/>
        <v>2.4900000000000002</v>
      </c>
    </row>
    <row r="10" spans="1:9">
      <c r="A10" s="7" t="s">
        <v>72</v>
      </c>
      <c r="B10" s="11">
        <v>8.0000000000000002E-3</v>
      </c>
      <c r="C10" s="8">
        <v>72.150000000000006</v>
      </c>
      <c r="D10" s="9">
        <v>485</v>
      </c>
      <c r="E10" s="9">
        <v>847</v>
      </c>
      <c r="G10" s="7">
        <f t="shared" si="0"/>
        <v>0.57720000000000005</v>
      </c>
      <c r="H10" s="7">
        <f t="shared" si="1"/>
        <v>3.88</v>
      </c>
      <c r="I10" s="7">
        <f t="shared" si="2"/>
        <v>6.7759999999999998</v>
      </c>
    </row>
    <row r="11" spans="1:9">
      <c r="A11" s="7" t="s">
        <v>39</v>
      </c>
      <c r="B11" s="11">
        <v>1E-3</v>
      </c>
      <c r="C11" s="8">
        <v>86.18</v>
      </c>
      <c r="D11" s="9">
        <v>434</v>
      </c>
      <c r="E11" s="9">
        <v>915</v>
      </c>
      <c r="G11" s="7">
        <f t="shared" si="0"/>
        <v>8.6180000000000007E-2</v>
      </c>
      <c r="H11" s="7">
        <f t="shared" si="1"/>
        <v>0.434</v>
      </c>
      <c r="I11" s="7">
        <f t="shared" si="2"/>
        <v>0.91500000000000004</v>
      </c>
    </row>
    <row r="12" spans="1:9">
      <c r="A12" s="7" t="s">
        <v>40</v>
      </c>
      <c r="B12" s="11">
        <v>1E-3</v>
      </c>
      <c r="C12" s="8">
        <v>114.23</v>
      </c>
      <c r="D12" s="9">
        <v>361</v>
      </c>
      <c r="E12" s="9">
        <v>1024</v>
      </c>
      <c r="G12" s="7">
        <f t="shared" si="0"/>
        <v>0.11423000000000001</v>
      </c>
      <c r="H12" s="7">
        <f t="shared" si="1"/>
        <v>0.36099999999999999</v>
      </c>
      <c r="I12" s="7">
        <f t="shared" si="2"/>
        <v>1.024</v>
      </c>
    </row>
    <row r="13" spans="1:9">
      <c r="A13" s="7" t="s">
        <v>73</v>
      </c>
      <c r="B13" s="11">
        <v>0.06</v>
      </c>
      <c r="C13" s="8">
        <v>28.02</v>
      </c>
      <c r="D13" s="9">
        <v>226.9</v>
      </c>
      <c r="E13" s="9">
        <v>492</v>
      </c>
      <c r="G13" s="7">
        <f t="shared" si="0"/>
        <v>1.6811999999999998</v>
      </c>
      <c r="H13" s="7">
        <f t="shared" si="1"/>
        <v>13.613999999999999</v>
      </c>
      <c r="I13" s="7">
        <f t="shared" si="2"/>
        <v>29.52</v>
      </c>
    </row>
    <row r="14" spans="1:9">
      <c r="A14" s="7" t="s">
        <v>74</v>
      </c>
      <c r="B14" s="11">
        <v>0.04</v>
      </c>
      <c r="C14" s="8">
        <v>44.01</v>
      </c>
      <c r="D14" s="9">
        <v>1073</v>
      </c>
      <c r="E14" s="9">
        <v>548</v>
      </c>
      <c r="G14" s="7">
        <f t="shared" si="0"/>
        <v>1.7604</v>
      </c>
      <c r="H14" s="7">
        <f t="shared" si="1"/>
        <v>42.92</v>
      </c>
      <c r="I14" s="7">
        <f t="shared" si="2"/>
        <v>21.92</v>
      </c>
    </row>
    <row r="15" spans="1:9">
      <c r="A15" s="7" t="s">
        <v>75</v>
      </c>
      <c r="B15" s="11">
        <v>0.02</v>
      </c>
      <c r="C15" s="8">
        <v>34.08</v>
      </c>
      <c r="D15" s="9">
        <v>1306</v>
      </c>
      <c r="E15" s="9">
        <v>672</v>
      </c>
      <c r="G15" s="7">
        <f t="shared" si="0"/>
        <v>0.68159999999999998</v>
      </c>
      <c r="H15" s="7">
        <f t="shared" si="1"/>
        <v>26.12</v>
      </c>
      <c r="I15" s="7">
        <f t="shared" si="2"/>
        <v>13.44</v>
      </c>
    </row>
    <row r="16" spans="1:9">
      <c r="G16" s="7" t="s">
        <v>65</v>
      </c>
      <c r="H16" s="7" t="s">
        <v>79</v>
      </c>
      <c r="I16" s="7" t="s">
        <v>80</v>
      </c>
    </row>
    <row r="17" spans="1:9">
      <c r="A17" s="7" t="s">
        <v>88</v>
      </c>
      <c r="B17" s="10">
        <f>SUM(B4:B15)</f>
        <v>1</v>
      </c>
      <c r="C17" s="10"/>
      <c r="D17" s="10"/>
      <c r="E17" s="10"/>
      <c r="F17" s="10"/>
      <c r="G17" s="6">
        <f>SUM(G4:G15)</f>
        <v>20.974029999999999</v>
      </c>
      <c r="H17" s="6">
        <f>SUM(H4:H15)</f>
        <v>672.63699999999983</v>
      </c>
      <c r="I17" s="6">
        <f>SUM(I4:I15)</f>
        <v>399.31100000000004</v>
      </c>
    </row>
    <row r="18" spans="1:9">
      <c r="F18" s="2" t="s">
        <v>89</v>
      </c>
      <c r="G18" s="3">
        <f>G17/28.97</f>
        <v>0.72399137038315498</v>
      </c>
    </row>
    <row r="20" spans="1:9">
      <c r="A20" s="7" t="s">
        <v>82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4AC1A-3700-4564-BDF7-FF708A643B46}">
  <dimension ref="A1:H100"/>
  <sheetViews>
    <sheetView zoomScale="80" zoomScaleNormal="80" workbookViewId="0">
      <selection activeCell="L34" sqref="L34"/>
    </sheetView>
  </sheetViews>
  <sheetFormatPr defaultColWidth="8.7109375" defaultRowHeight="15"/>
  <cols>
    <col min="1" max="1" width="26.28515625" bestFit="1" customWidth="1"/>
    <col min="3" max="3" width="9.28515625" bestFit="1" customWidth="1"/>
    <col min="7" max="7" width="9.28515625" bestFit="1" customWidth="1"/>
  </cols>
  <sheetData>
    <row r="1" spans="1:8">
      <c r="D1" t="s">
        <v>63</v>
      </c>
      <c r="F1" t="s">
        <v>87</v>
      </c>
      <c r="G1" t="s">
        <v>90</v>
      </c>
      <c r="H1" t="s">
        <v>41</v>
      </c>
    </row>
    <row r="2" spans="1:8">
      <c r="F2">
        <v>0.1</v>
      </c>
      <c r="G2" s="4">
        <f>$C$9 + $C$3*$C$4*LN($C$6/F2)/(2*PI()*$C$5*$C$8)</f>
        <v>12444055.966646791</v>
      </c>
      <c r="H2">
        <f>G2*0.00001</f>
        <v>124.44055966646792</v>
      </c>
    </row>
    <row r="3" spans="1:8">
      <c r="A3" t="s">
        <v>56</v>
      </c>
      <c r="B3" s="4" t="s">
        <v>85</v>
      </c>
      <c r="C3" s="3">
        <v>-1E-3</v>
      </c>
      <c r="D3" t="s">
        <v>42</v>
      </c>
      <c r="F3">
        <v>0.2</v>
      </c>
      <c r="G3" s="4">
        <f>$C$9 + $C$3*$C$4*LN($C$6/F3)/(2*PI()*$C$5*$C$8)</f>
        <v>14650411.968173306</v>
      </c>
      <c r="H3">
        <f t="shared" ref="H3:H34" si="0">G3*0.00001</f>
        <v>146.50411968173307</v>
      </c>
    </row>
    <row r="4" spans="1:8">
      <c r="A4" t="s">
        <v>57</v>
      </c>
      <c r="B4" s="5" t="s">
        <v>86</v>
      </c>
      <c r="C4">
        <v>2E-3</v>
      </c>
      <c r="D4" t="s">
        <v>44</v>
      </c>
      <c r="F4">
        <v>0.3</v>
      </c>
      <c r="G4" s="4">
        <f>$C$9 + $C$3*$C$4*LN($C$6/F4)/(2*PI()*$C$5*$C$8)</f>
        <v>15941047.492307387</v>
      </c>
      <c r="H4">
        <f t="shared" si="0"/>
        <v>159.41047492307388</v>
      </c>
    </row>
    <row r="5" spans="1:8">
      <c r="A5" t="s">
        <v>58</v>
      </c>
      <c r="B5" t="s">
        <v>45</v>
      </c>
      <c r="C5">
        <v>1E-14</v>
      </c>
      <c r="D5" t="s">
        <v>46</v>
      </c>
      <c r="F5">
        <v>0.4</v>
      </c>
      <c r="G5" s="4">
        <f>$C$9 + $C$3*$C$4*LN($C$6/F5)/(2*PI()*$C$5*$C$8)</f>
        <v>16856767.969699819</v>
      </c>
      <c r="H5">
        <f t="shared" si="0"/>
        <v>168.5676796969982</v>
      </c>
    </row>
    <row r="6" spans="1:8">
      <c r="A6" t="s">
        <v>59</v>
      </c>
      <c r="B6" s="4" t="s">
        <v>47</v>
      </c>
      <c r="C6">
        <v>575</v>
      </c>
      <c r="D6" t="s">
        <v>43</v>
      </c>
      <c r="F6">
        <v>0.5</v>
      </c>
      <c r="G6" s="4">
        <f>$C$9 + $C$3*$C$4*LN($C$6/F6)/(2*PI()*$C$5*$C$8)</f>
        <v>17567055.953914549</v>
      </c>
      <c r="H6">
        <f t="shared" si="0"/>
        <v>175.6705595391455</v>
      </c>
    </row>
    <row r="7" spans="1:8">
      <c r="A7" t="s">
        <v>60</v>
      </c>
      <c r="B7" t="s">
        <v>48</v>
      </c>
      <c r="C7">
        <v>0.1</v>
      </c>
      <c r="D7" t="s">
        <v>43</v>
      </c>
      <c r="F7">
        <v>0.6</v>
      </c>
      <c r="G7" s="4">
        <f t="shared" ref="G7:G34" si="1">$C$9 + $C$3*$C$4*LN($C$6/F7)/(2*PI()*$C$5*$C$8)</f>
        <v>18147403.493833903</v>
      </c>
      <c r="H7">
        <f t="shared" si="0"/>
        <v>181.47403493833906</v>
      </c>
    </row>
    <row r="8" spans="1:8">
      <c r="A8" t="s">
        <v>61</v>
      </c>
      <c r="B8" t="s">
        <v>49</v>
      </c>
      <c r="C8">
        <v>10</v>
      </c>
      <c r="D8" t="s">
        <v>43</v>
      </c>
      <c r="F8">
        <v>0.7</v>
      </c>
      <c r="G8" s="4">
        <f t="shared" si="1"/>
        <v>18638080.347343586</v>
      </c>
      <c r="H8">
        <f t="shared" si="0"/>
        <v>186.38080347343589</v>
      </c>
    </row>
    <row r="9" spans="1:8">
      <c r="A9" t="s">
        <v>62</v>
      </c>
      <c r="B9" t="s">
        <v>50</v>
      </c>
      <c r="C9" s="4">
        <v>40000000</v>
      </c>
      <c r="D9" t="s">
        <v>51</v>
      </c>
      <c r="F9">
        <v>0.8</v>
      </c>
      <c r="G9" s="4">
        <f t="shared" si="1"/>
        <v>19063123.971226335</v>
      </c>
      <c r="H9">
        <f t="shared" si="0"/>
        <v>190.63123971226335</v>
      </c>
    </row>
    <row r="10" spans="1:8">
      <c r="F10">
        <v>0.9</v>
      </c>
      <c r="G10" s="4">
        <f t="shared" si="1"/>
        <v>19438039.017967984</v>
      </c>
      <c r="H10">
        <f t="shared" si="0"/>
        <v>194.38039017967986</v>
      </c>
    </row>
    <row r="11" spans="1:8">
      <c r="F11">
        <v>1</v>
      </c>
      <c r="G11" s="4">
        <f t="shared" si="1"/>
        <v>19773411.955441065</v>
      </c>
      <c r="H11">
        <f t="shared" si="0"/>
        <v>197.73411955441065</v>
      </c>
    </row>
    <row r="12" spans="1:8">
      <c r="F12">
        <v>2</v>
      </c>
      <c r="G12" s="4">
        <f t="shared" si="1"/>
        <v>21979767.956967581</v>
      </c>
      <c r="H12">
        <f t="shared" si="0"/>
        <v>219.79767956967584</v>
      </c>
    </row>
    <row r="13" spans="1:8">
      <c r="F13">
        <v>3</v>
      </c>
      <c r="G13" s="4">
        <f t="shared" si="1"/>
        <v>23270403.481101662</v>
      </c>
      <c r="H13">
        <f t="shared" si="0"/>
        <v>232.70403481101664</v>
      </c>
    </row>
    <row r="14" spans="1:8">
      <c r="F14">
        <v>4</v>
      </c>
      <c r="G14" s="4">
        <f t="shared" si="1"/>
        <v>24186123.958494097</v>
      </c>
      <c r="H14">
        <f t="shared" si="0"/>
        <v>241.86123958494099</v>
      </c>
    </row>
    <row r="15" spans="1:8">
      <c r="F15">
        <v>5</v>
      </c>
      <c r="G15" s="4">
        <f t="shared" si="1"/>
        <v>24896411.942708828</v>
      </c>
      <c r="H15">
        <f t="shared" si="0"/>
        <v>248.96411942708829</v>
      </c>
    </row>
    <row r="16" spans="1:8">
      <c r="F16">
        <v>6</v>
      </c>
      <c r="G16" s="4">
        <f t="shared" si="1"/>
        <v>25476759.482628182</v>
      </c>
      <c r="H16">
        <f t="shared" si="0"/>
        <v>254.76759482628182</v>
      </c>
    </row>
    <row r="17" spans="6:8">
      <c r="F17">
        <v>7</v>
      </c>
      <c r="G17" s="4">
        <f t="shared" si="1"/>
        <v>25967436.336137861</v>
      </c>
      <c r="H17">
        <f t="shared" si="0"/>
        <v>259.67436336137865</v>
      </c>
    </row>
    <row r="18" spans="6:8">
      <c r="F18">
        <v>8</v>
      </c>
      <c r="G18" s="4">
        <f t="shared" si="1"/>
        <v>26392479.960020609</v>
      </c>
      <c r="H18">
        <f t="shared" si="0"/>
        <v>263.92479960020609</v>
      </c>
    </row>
    <row r="19" spans="6:8">
      <c r="F19">
        <v>9</v>
      </c>
      <c r="G19" s="4">
        <f t="shared" si="1"/>
        <v>26767395.006762259</v>
      </c>
      <c r="H19">
        <f t="shared" si="0"/>
        <v>267.67395006762263</v>
      </c>
    </row>
    <row r="20" spans="6:8">
      <c r="F20">
        <v>10</v>
      </c>
      <c r="G20" s="4">
        <f t="shared" si="1"/>
        <v>27102767.94423534</v>
      </c>
      <c r="H20">
        <f t="shared" si="0"/>
        <v>271.02767944235342</v>
      </c>
    </row>
    <row r="21" spans="6:8">
      <c r="F21">
        <v>20</v>
      </c>
      <c r="G21" s="4">
        <f t="shared" si="1"/>
        <v>29309123.945761859</v>
      </c>
      <c r="H21">
        <f t="shared" si="0"/>
        <v>293.0912394576186</v>
      </c>
    </row>
    <row r="22" spans="6:8">
      <c r="F22">
        <v>30</v>
      </c>
      <c r="G22" s="4">
        <f t="shared" si="1"/>
        <v>30599759.469895937</v>
      </c>
      <c r="H22">
        <f t="shared" si="0"/>
        <v>305.9975946989594</v>
      </c>
    </row>
    <row r="23" spans="6:8">
      <c r="F23">
        <v>40</v>
      </c>
      <c r="G23" s="4">
        <f t="shared" si="1"/>
        <v>31515479.947288372</v>
      </c>
      <c r="H23">
        <f t="shared" si="0"/>
        <v>315.15479947288372</v>
      </c>
    </row>
    <row r="24" spans="6:8">
      <c r="F24">
        <v>50</v>
      </c>
      <c r="G24" s="4">
        <f t="shared" si="1"/>
        <v>32225767.931503102</v>
      </c>
      <c r="H24">
        <f t="shared" si="0"/>
        <v>322.25767931503106</v>
      </c>
    </row>
    <row r="25" spans="6:8">
      <c r="F25">
        <v>60</v>
      </c>
      <c r="G25" s="4">
        <f t="shared" si="1"/>
        <v>32806115.471422452</v>
      </c>
      <c r="H25">
        <f t="shared" si="0"/>
        <v>328.06115471422453</v>
      </c>
    </row>
    <row r="26" spans="6:8">
      <c r="F26">
        <v>70</v>
      </c>
      <c r="G26" s="4">
        <f t="shared" si="1"/>
        <v>33296792.324932139</v>
      </c>
      <c r="H26">
        <f t="shared" si="0"/>
        <v>332.96792324932142</v>
      </c>
    </row>
    <row r="27" spans="6:8">
      <c r="F27">
        <v>80</v>
      </c>
      <c r="G27" s="4">
        <f t="shared" si="1"/>
        <v>33721835.948814884</v>
      </c>
      <c r="H27">
        <f t="shared" si="0"/>
        <v>337.21835948814885</v>
      </c>
    </row>
    <row r="28" spans="6:8">
      <c r="F28">
        <v>90</v>
      </c>
      <c r="G28" s="4">
        <f t="shared" si="1"/>
        <v>34096750.995556533</v>
      </c>
      <c r="H28">
        <f t="shared" si="0"/>
        <v>340.96750995556533</v>
      </c>
    </row>
    <row r="29" spans="6:8">
      <c r="F29">
        <v>100</v>
      </c>
      <c r="G29" s="4">
        <f t="shared" si="1"/>
        <v>34432123.933029614</v>
      </c>
      <c r="H29">
        <f t="shared" si="0"/>
        <v>344.32123933029618</v>
      </c>
    </row>
    <row r="30" spans="6:8">
      <c r="F30">
        <v>200</v>
      </c>
      <c r="G30" s="4">
        <f t="shared" si="1"/>
        <v>36638479.934556134</v>
      </c>
      <c r="H30">
        <f t="shared" si="0"/>
        <v>366.38479934556136</v>
      </c>
    </row>
    <row r="31" spans="6:8">
      <c r="F31">
        <v>300</v>
      </c>
      <c r="G31" s="4">
        <f t="shared" si="1"/>
        <v>37929115.458690211</v>
      </c>
      <c r="H31">
        <f t="shared" si="0"/>
        <v>379.29115458690217</v>
      </c>
    </row>
    <row r="32" spans="6:8">
      <c r="F32">
        <v>400</v>
      </c>
      <c r="G32" s="4">
        <f t="shared" si="1"/>
        <v>38844835.936082646</v>
      </c>
      <c r="H32">
        <f t="shared" si="0"/>
        <v>388.44835936082649</v>
      </c>
    </row>
    <row r="33" spans="6:8">
      <c r="F33">
        <v>500</v>
      </c>
      <c r="G33" s="4">
        <f t="shared" si="1"/>
        <v>39555123.920297377</v>
      </c>
      <c r="H33">
        <f t="shared" si="0"/>
        <v>395.55123920297382</v>
      </c>
    </row>
    <row r="34" spans="6:8">
      <c r="F34">
        <v>575</v>
      </c>
      <c r="G34" s="4">
        <f t="shared" si="1"/>
        <v>40000000</v>
      </c>
      <c r="H34">
        <f t="shared" si="0"/>
        <v>400.00000000000006</v>
      </c>
    </row>
    <row r="35" spans="6:8">
      <c r="G35" s="4"/>
    </row>
    <row r="36" spans="6:8">
      <c r="G36" s="4"/>
    </row>
    <row r="37" spans="6:8">
      <c r="G37" s="4"/>
    </row>
    <row r="38" spans="6:8">
      <c r="G38" s="4"/>
    </row>
    <row r="39" spans="6:8">
      <c r="G39" s="4"/>
    </row>
    <row r="40" spans="6:8">
      <c r="G40" s="4"/>
    </row>
    <row r="41" spans="6:8">
      <c r="G41" s="4"/>
    </row>
    <row r="42" spans="6:8">
      <c r="G42" s="4"/>
    </row>
    <row r="43" spans="6:8">
      <c r="G43" s="4"/>
    </row>
    <row r="44" spans="6:8">
      <c r="G44" s="4"/>
    </row>
    <row r="45" spans="6:8">
      <c r="G45" s="4"/>
    </row>
    <row r="46" spans="6:8">
      <c r="G46" s="4"/>
    </row>
    <row r="47" spans="6:8">
      <c r="G47" s="4"/>
    </row>
    <row r="48" spans="6:8">
      <c r="G48" s="4"/>
    </row>
    <row r="49" spans="7:7">
      <c r="G49" s="4"/>
    </row>
    <row r="50" spans="7:7">
      <c r="G50" s="4"/>
    </row>
    <row r="51" spans="7:7">
      <c r="G51" s="4"/>
    </row>
    <row r="52" spans="7:7">
      <c r="G52" s="4"/>
    </row>
    <row r="53" spans="7:7">
      <c r="G53" s="4"/>
    </row>
    <row r="54" spans="7:7">
      <c r="G54" s="4"/>
    </row>
    <row r="55" spans="7:7">
      <c r="G55" s="4"/>
    </row>
    <row r="56" spans="7:7">
      <c r="G56" s="4"/>
    </row>
    <row r="57" spans="7:7">
      <c r="G57" s="4"/>
    </row>
    <row r="58" spans="7:7">
      <c r="G58" s="4"/>
    </row>
    <row r="59" spans="7:7">
      <c r="G59" s="4"/>
    </row>
    <row r="60" spans="7:7">
      <c r="G60" s="4"/>
    </row>
    <row r="61" spans="7:7">
      <c r="G61" s="4"/>
    </row>
    <row r="62" spans="7:7">
      <c r="G62" s="4"/>
    </row>
    <row r="63" spans="7:7">
      <c r="G63" s="4"/>
    </row>
    <row r="64" spans="7:7">
      <c r="G64" s="4"/>
    </row>
    <row r="65" spans="7:7">
      <c r="G65" s="4"/>
    </row>
    <row r="66" spans="7:7">
      <c r="G66" s="4"/>
    </row>
    <row r="67" spans="7:7">
      <c r="G67" s="4"/>
    </row>
    <row r="68" spans="7:7">
      <c r="G68" s="4"/>
    </row>
    <row r="69" spans="7:7">
      <c r="G69" s="4"/>
    </row>
    <row r="70" spans="7:7">
      <c r="G70" s="4"/>
    </row>
    <row r="71" spans="7:7">
      <c r="G71" s="4"/>
    </row>
    <row r="72" spans="7:7">
      <c r="G72" s="4"/>
    </row>
    <row r="73" spans="7:7">
      <c r="G73" s="4"/>
    </row>
    <row r="74" spans="7:7">
      <c r="G74" s="4"/>
    </row>
    <row r="75" spans="7:7">
      <c r="G75" s="4"/>
    </row>
    <row r="76" spans="7:7">
      <c r="G76" s="4"/>
    </row>
    <row r="77" spans="7:7">
      <c r="G77" s="4"/>
    </row>
    <row r="78" spans="7:7">
      <c r="G78" s="4"/>
    </row>
    <row r="79" spans="7:7">
      <c r="G79" s="4"/>
    </row>
    <row r="80" spans="7:7">
      <c r="G80" s="4"/>
    </row>
    <row r="81" spans="7:7">
      <c r="G81" s="4"/>
    </row>
    <row r="82" spans="7:7">
      <c r="G82" s="4"/>
    </row>
    <row r="83" spans="7:7">
      <c r="G83" s="4"/>
    </row>
    <row r="84" spans="7:7">
      <c r="G84" s="4"/>
    </row>
    <row r="85" spans="7:7">
      <c r="G85" s="4"/>
    </row>
    <row r="86" spans="7:7">
      <c r="G86" s="4"/>
    </row>
    <row r="87" spans="7:7">
      <c r="G87" s="4"/>
    </row>
    <row r="88" spans="7:7">
      <c r="G88" s="4"/>
    </row>
    <row r="89" spans="7:7">
      <c r="G89" s="4"/>
    </row>
    <row r="90" spans="7:7">
      <c r="G90" s="4"/>
    </row>
    <row r="91" spans="7:7">
      <c r="G91" s="4"/>
    </row>
    <row r="92" spans="7:7">
      <c r="G92" s="4"/>
    </row>
    <row r="93" spans="7:7">
      <c r="G93" s="4"/>
    </row>
    <row r="94" spans="7:7">
      <c r="G94" s="4"/>
    </row>
    <row r="95" spans="7:7">
      <c r="G95" s="4"/>
    </row>
    <row r="96" spans="7:7">
      <c r="G96" s="4"/>
    </row>
    <row r="97" spans="7:7">
      <c r="G97" s="4"/>
    </row>
    <row r="98" spans="7:7">
      <c r="G98" s="4"/>
    </row>
    <row r="99" spans="7:7">
      <c r="G99" s="4"/>
    </row>
    <row r="100" spans="7:7">
      <c r="G100" s="4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AC0B3-9818-40AC-B9BB-78AD1F875224}">
  <dimension ref="A1:I37"/>
  <sheetViews>
    <sheetView tabSelected="1" topLeftCell="A2" workbookViewId="0">
      <selection activeCell="I7" sqref="I7"/>
    </sheetView>
  </sheetViews>
  <sheetFormatPr defaultColWidth="8.7109375" defaultRowHeight="15"/>
  <sheetData>
    <row r="1" spans="1:9">
      <c r="B1" t="s">
        <v>52</v>
      </c>
      <c r="I1" t="s">
        <v>53</v>
      </c>
    </row>
    <row r="3" spans="1:9">
      <c r="A3" s="3" t="s">
        <v>54</v>
      </c>
      <c r="B3" t="s">
        <v>91</v>
      </c>
      <c r="D3" t="s">
        <v>83</v>
      </c>
      <c r="I3" t="s">
        <v>92</v>
      </c>
    </row>
    <row r="4" spans="1:9">
      <c r="A4" t="s">
        <v>0</v>
      </c>
      <c r="B4">
        <v>35</v>
      </c>
      <c r="I4">
        <v>35</v>
      </c>
    </row>
    <row r="5" spans="1:9">
      <c r="A5" s="2" t="s">
        <v>27</v>
      </c>
      <c r="B5">
        <v>0.77</v>
      </c>
      <c r="I5">
        <v>0.77</v>
      </c>
    </row>
    <row r="6" spans="1:9">
      <c r="A6" t="s">
        <v>1</v>
      </c>
      <c r="B6" s="3">
        <v>120</v>
      </c>
      <c r="C6" t="s">
        <v>28</v>
      </c>
      <c r="I6" s="3">
        <v>120</v>
      </c>
    </row>
    <row r="7" spans="1:9">
      <c r="A7" t="s">
        <v>2</v>
      </c>
      <c r="B7" s="3">
        <v>2500</v>
      </c>
      <c r="C7" t="s">
        <v>29</v>
      </c>
      <c r="I7" s="3">
        <v>2500</v>
      </c>
    </row>
    <row r="8" spans="1:9">
      <c r="A8" t="s">
        <v>26</v>
      </c>
      <c r="B8">
        <v>2500</v>
      </c>
      <c r="C8" t="s">
        <v>29</v>
      </c>
      <c r="I8">
        <v>2500</v>
      </c>
    </row>
    <row r="10" spans="1:9">
      <c r="A10" t="s">
        <v>3</v>
      </c>
      <c r="B10">
        <f>B5*((B7/18)*(10^(0.0125*B4)/10^(0.00091*B6)))^1.2048</f>
        <v>730.31862006458994</v>
      </c>
      <c r="D10" s="1" t="s">
        <v>4</v>
      </c>
      <c r="I10" s="3">
        <v>800</v>
      </c>
    </row>
    <row r="11" spans="1:9">
      <c r="A11" s="2" t="s">
        <v>8</v>
      </c>
      <c r="B11">
        <f>141.5/(B4 + 131.5)</f>
        <v>0.8498498498498499</v>
      </c>
      <c r="D11" s="1" t="s">
        <v>7</v>
      </c>
      <c r="I11">
        <f>141.5/(I4 + 131.5)</f>
        <v>0.8498498498498499</v>
      </c>
    </row>
    <row r="12" spans="1:9">
      <c r="A12" s="2" t="s">
        <v>5</v>
      </c>
      <c r="B12" s="3">
        <f>(62.4*B11 + 0.0136*B10*B5)/(0.972 + 0.000147*(B10*SQRT(B5/B11) + 1.25*B6)^1.175)</f>
        <v>44.095053371732156</v>
      </c>
      <c r="C12" s="3"/>
      <c r="D12" s="1" t="s">
        <v>6</v>
      </c>
      <c r="E12" t="s">
        <v>30</v>
      </c>
      <c r="I12" s="3">
        <f>(62.4*I11 + 0.0136*I10*I5)/(0.972 + 0.000147*(I10*SQRT(I5/I11) + 1.25*I6)^1.175)</f>
        <v>43.441123183560741</v>
      </c>
    </row>
    <row r="13" spans="1:9">
      <c r="A13" s="2"/>
      <c r="B13" s="3"/>
      <c r="C13" s="3"/>
      <c r="D13" s="1"/>
      <c r="I13" s="3"/>
    </row>
    <row r="14" spans="1:9">
      <c r="A14" s="3" t="s">
        <v>55</v>
      </c>
      <c r="D14" s="1"/>
    </row>
    <row r="15" spans="1:9">
      <c r="A15" t="s">
        <v>9</v>
      </c>
      <c r="B15">
        <f>10^(0.43 + (8.33/B4))</f>
        <v>4.6558609352295894</v>
      </c>
      <c r="D15" s="1" t="s">
        <v>11</v>
      </c>
      <c r="I15">
        <f>10^(0.43 + (8.33/I4))</f>
        <v>4.6558609352295894</v>
      </c>
    </row>
    <row r="16" spans="1:9">
      <c r="A16" s="2" t="s">
        <v>12</v>
      </c>
      <c r="B16">
        <f>(0.32 + 18000000/(B4^4.53))*(360/(B6 + 200))^B15</f>
        <v>3.7073199212635704</v>
      </c>
      <c r="D16" s="1" t="s">
        <v>10</v>
      </c>
      <c r="E16" t="s">
        <v>31</v>
      </c>
      <c r="I16">
        <f>(0.32 + 18000000/(I4^4.53))*(360/(I6 + 200))^I15</f>
        <v>3.7073199212635704</v>
      </c>
    </row>
    <row r="17" spans="1:9">
      <c r="A17" s="2"/>
      <c r="D17" s="1"/>
    </row>
    <row r="18" spans="1:9">
      <c r="A18" s="2" t="s">
        <v>13</v>
      </c>
      <c r="B18">
        <f>0.00374*B10</f>
        <v>2.7313916390415662</v>
      </c>
      <c r="D18" s="1" t="s">
        <v>18</v>
      </c>
      <c r="I18">
        <f>0.00374*I10</f>
        <v>2.992</v>
      </c>
    </row>
    <row r="19" spans="1:9">
      <c r="A19" s="2" t="s">
        <v>14</v>
      </c>
      <c r="B19">
        <f>0.0011*B10</f>
        <v>0.80335048207104898</v>
      </c>
      <c r="D19" s="1" t="s">
        <v>19</v>
      </c>
      <c r="I19">
        <f>0.0011*I10</f>
        <v>0.88</v>
      </c>
    </row>
    <row r="20" spans="1:9">
      <c r="A20" s="2" t="s">
        <v>15</v>
      </c>
      <c r="B20">
        <f>0.0000862*B10</f>
        <v>6.2953465049567642E-2</v>
      </c>
      <c r="D20" s="1" t="s">
        <v>20</v>
      </c>
      <c r="I20">
        <f>0.0000862*I10</f>
        <v>6.8959999999999994E-2</v>
      </c>
    </row>
    <row r="21" spans="1:9">
      <c r="A21" s="2" t="s">
        <v>16</v>
      </c>
      <c r="B21">
        <f>0.68/10^B20 + 0.25/10^B19 + 0.062/10^B18</f>
        <v>0.6276741206262032</v>
      </c>
      <c r="D21" s="1" t="s">
        <v>21</v>
      </c>
      <c r="I21">
        <f>0.68/10^I20 + 0.25/10^I19 + 0.062/10^I18</f>
        <v>0.6131810810510111</v>
      </c>
    </row>
    <row r="22" spans="1:9">
      <c r="A22" s="2" t="s">
        <v>17</v>
      </c>
      <c r="B22">
        <f>B10*(0.00000022*B10 - 0.00074)</f>
        <v>-0.42309541574892617</v>
      </c>
      <c r="D22" s="1" t="s">
        <v>22</v>
      </c>
      <c r="I22">
        <f>I10*(0.00000022*I10 - 0.00074)</f>
        <v>-0.45120000000000005</v>
      </c>
    </row>
    <row r="23" spans="1:9">
      <c r="A23" s="2" t="s">
        <v>23</v>
      </c>
      <c r="B23" s="3">
        <f>(10^B22)*(B16^B21)</f>
        <v>0.85918930037511387</v>
      </c>
      <c r="C23" s="3"/>
      <c r="D23" s="1" t="s">
        <v>24</v>
      </c>
      <c r="E23" t="s">
        <v>32</v>
      </c>
      <c r="I23" s="3">
        <f>(10^I22)*(I16^I21)</f>
        <v>0.79019970962867303</v>
      </c>
    </row>
    <row r="24" spans="1:9">
      <c r="D24" s="1"/>
    </row>
    <row r="25" spans="1:9">
      <c r="A25" s="2" t="s">
        <v>25</v>
      </c>
      <c r="B25" s="3">
        <f>B23 + 0.001*(B7 - B8)*(0.024*B23^1.6 + 0.38*B23^0.56)</f>
        <v>0.85918930037511387</v>
      </c>
      <c r="C25" s="3"/>
      <c r="D25" s="1" t="s">
        <v>33</v>
      </c>
      <c r="E25" t="s">
        <v>34</v>
      </c>
      <c r="I25" s="3">
        <f>I23 + 0.001*(I7 - I8)*(0.024*I23^1.6 + 0.38*I23^0.56)</f>
        <v>0.79019970962867303</v>
      </c>
    </row>
    <row r="26" spans="1:9">
      <c r="D26" s="1"/>
    </row>
    <row r="27" spans="1:9">
      <c r="D27" s="1"/>
    </row>
    <row r="28" spans="1:9">
      <c r="A28" t="s">
        <v>84</v>
      </c>
      <c r="D28" s="1"/>
    </row>
    <row r="29" spans="1:9">
      <c r="D29" s="1"/>
    </row>
    <row r="30" spans="1:9">
      <c r="D30" s="1"/>
    </row>
    <row r="31" spans="1:9">
      <c r="D31" s="1"/>
    </row>
    <row r="32" spans="1:9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Oppg. 1  (2.3)</vt:lpstr>
      <vt:lpstr>Oppg. 2 b)</vt:lpstr>
      <vt:lpstr>Oljeegenskaper</vt:lpstr>
    </vt:vector>
  </TitlesOfParts>
  <Company>Universitetet i Stavanger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Runar Bøe</dc:creator>
  <cp:lastModifiedBy>Runar Bøe</cp:lastModifiedBy>
  <dcterms:created xsi:type="dcterms:W3CDTF">2020-08-18T11:07:33Z</dcterms:created>
  <dcterms:modified xsi:type="dcterms:W3CDTF">2022-09-01T13:07:02Z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7fce66-bf2d-46b5-b59a-9f0018501bcd_Enabled">
    <vt:lpwstr>true</vt:lpwstr>
  </property>
  <property fmtid="{D5CDD505-2E9C-101B-9397-08002B2CF9AE}" pid="3" name="MSIP_Label_2b7fce66-bf2d-46b5-b59a-9f0018501bcd_SetDate">
    <vt:lpwstr>2022-08-23T11:47:01Z</vt:lpwstr>
  </property>
  <property fmtid="{D5CDD505-2E9C-101B-9397-08002B2CF9AE}" pid="4" name="MSIP_Label_2b7fce66-bf2d-46b5-b59a-9f0018501bcd_Method">
    <vt:lpwstr>Standard</vt:lpwstr>
  </property>
  <property fmtid="{D5CDD505-2E9C-101B-9397-08002B2CF9AE}" pid="5" name="MSIP_Label_2b7fce66-bf2d-46b5-b59a-9f0018501bcd_Name">
    <vt:lpwstr>s_Intern</vt:lpwstr>
  </property>
  <property fmtid="{D5CDD505-2E9C-101B-9397-08002B2CF9AE}" pid="6" name="MSIP_Label_2b7fce66-bf2d-46b5-b59a-9f0018501bcd_SiteId">
    <vt:lpwstr>f8a213d2-8f6c-400d-9e74-4e8b475316c6</vt:lpwstr>
  </property>
  <property fmtid="{D5CDD505-2E9C-101B-9397-08002B2CF9AE}" pid="7" name="MSIP_Label_2b7fce66-bf2d-46b5-b59a-9f0018501bcd_ActionId">
    <vt:lpwstr>73408fc5-5813-486c-9c3b-9232ca2415fc</vt:lpwstr>
  </property>
  <property fmtid="{D5CDD505-2E9C-101B-9397-08002B2CF9AE}" pid="8" name="MSIP_Label_2b7fce66-bf2d-46b5-b59a-9f0018501bcd_ContentBits">
    <vt:lpwstr>0</vt:lpwstr>
  </property>
</Properties>
</file>